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álculo do Resistividade do Sol" sheetId="1" r:id="rId4"/>
    <sheet state="visible" name="Cálculo do Condutor" sheetId="2" r:id="rId5"/>
    <sheet state="visible" name="Cálculo da Resistência da Malha" sheetId="3" r:id="rId6"/>
    <sheet state="visible" name="Cálculo Potencial de Toque" sheetId="4" r:id="rId7"/>
    <sheet state="visible" name="Cálculo Potencial de Passo" sheetId="5" r:id="rId8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6">
      <text>
        <t xml:space="preserve">Tempo que a corrente de defeito é drenada pelo aterramento até o relé de proteção ser acionado</t>
      </text>
    </comment>
    <comment authorId="0" ref="A7">
      <text>
        <t xml:space="preserve">Valor da corrente que será drenada. Geralmente é a corrente de curto.</t>
      </text>
    </comment>
    <comment authorId="0" ref="A9">
      <text>
        <t xml:space="preserve">A corrente de defeito é distribuída na malha. Considera-se 50% da corrente para cada lado. Adicionando-se 10% como fator de erro, consideramos 60% da corrente para cada lado da malha.</t>
      </text>
    </comment>
    <comment authorId="0" ref="A13">
      <text>
        <t xml:space="preserve">Dependendo do tipo da conexão, pode obter valores diferentes de temperatura máxima dos condutores.
Soldas ou conexão exotérmica pode obter valores maiores que 250°C.</t>
      </text>
    </comment>
    <comment authorId="0" ref="A14">
      <text>
        <t xml:space="preserve">type here
A conexão do fio de ligação sempre será cavilhada: conexão tradicional por aperto (pressão)</t>
      </text>
    </comment>
    <comment authorId="0" ref="A15">
      <text>
        <t xml:space="preserve">Considere a temperatura ambiente do local.</t>
      </text>
    </comment>
  </commentList>
</comments>
</file>

<file path=xl/sharedStrings.xml><?xml version="1.0" encoding="utf-8"?>
<sst xmlns="http://schemas.openxmlformats.org/spreadsheetml/2006/main" count="199" uniqueCount="116">
  <si>
    <t>Projeto Aterramento</t>
  </si>
  <si>
    <t>Dimensionamento do Condutor</t>
  </si>
  <si>
    <t>Dimensionamento Resistência da Malha</t>
  </si>
  <si>
    <t>Valores do Solo</t>
  </si>
  <si>
    <t>Valores de Corrente</t>
  </si>
  <si>
    <t>Valores alteráveis</t>
  </si>
  <si>
    <t>Tipo</t>
  </si>
  <si>
    <t>Valor</t>
  </si>
  <si>
    <t>Unidade</t>
  </si>
  <si>
    <t>Comentário</t>
  </si>
  <si>
    <t>Valores Não Alteráveis</t>
  </si>
  <si>
    <t>Resistividade aparente do Solo (pa)</t>
  </si>
  <si>
    <t>Ohm.m</t>
  </si>
  <si>
    <t>Tempo de defeito</t>
  </si>
  <si>
    <t>s</t>
  </si>
  <si>
    <t>Valores da Malha</t>
  </si>
  <si>
    <t>&lt;- Adicione t</t>
  </si>
  <si>
    <t>Comprimento da Malha (La)</t>
  </si>
  <si>
    <t>m</t>
  </si>
  <si>
    <t>Corrente de defeito</t>
  </si>
  <si>
    <t>Largura da Malha (Lb)</t>
  </si>
  <si>
    <t>A</t>
  </si>
  <si>
    <t>&lt;- Adicione I</t>
  </si>
  <si>
    <t>Profundidade da malha (h)</t>
  </si>
  <si>
    <t>Cálculos Resultantes</t>
  </si>
  <si>
    <t>Valor deve ser 0.25m &lt; h &lt; 2.5m</t>
  </si>
  <si>
    <t>Porcentagem da distância dos condutores de La</t>
  </si>
  <si>
    <t>%</t>
  </si>
  <si>
    <t>Porcentagem da distância dos condutores de Lb</t>
  </si>
  <si>
    <t>Nro de hastes</t>
  </si>
  <si>
    <t>Corrente distribuída na malha</t>
  </si>
  <si>
    <t>Comprimento das hastes</t>
  </si>
  <si>
    <t>Área total da Malha</t>
  </si>
  <si>
    <t>m^2</t>
  </si>
  <si>
    <t>&lt;</t>
  </si>
  <si>
    <t>Espaçamento condutores em La</t>
  </si>
  <si>
    <t>Valores do Condutor</t>
  </si>
  <si>
    <t>Temperatura Máxima Permissível condutor Malha</t>
  </si>
  <si>
    <t>°C</t>
  </si>
  <si>
    <t>&lt;- Adicione Tmax Condutor Malha</t>
  </si>
  <si>
    <t>Considera-se o maior valor para malha quadrada</t>
  </si>
  <si>
    <t>Espaçamento condutores em Lb</t>
  </si>
  <si>
    <t>Deve-se conferir se o valor é possível</t>
  </si>
  <si>
    <t>Espaçamento escolhido</t>
  </si>
  <si>
    <t>Temperatura Máxima Permissível condutor Ligação</t>
  </si>
  <si>
    <t>&lt;- Adicione o espaçamento escolhido (Deve ser e &gt;= 2.5m )</t>
  </si>
  <si>
    <t>Número total de condutores comprimento La</t>
  </si>
  <si>
    <t>&lt;- Adicione Tmax Fio de Ligação</t>
  </si>
  <si>
    <t>Temperatura Ambiente</t>
  </si>
  <si>
    <t>&lt;- Adicione Tamb</t>
  </si>
  <si>
    <t>Espessura do Condutor de Ligação (Slig)</t>
  </si>
  <si>
    <t>mm^2</t>
  </si>
  <si>
    <t>Valor mínimo prático é 35mm^2</t>
  </si>
  <si>
    <t>Espessura do condutor da Malha (Smalha)</t>
  </si>
  <si>
    <t>Espessura do Condutor de Ligação (Slig) Escolhido</t>
  </si>
  <si>
    <t>Espessura do condutor da Malha (Smalha) Escolhido</t>
  </si>
  <si>
    <t>Diâmetro do Condutor de Ligação (Dlig)</t>
  </si>
  <si>
    <t>Número de condutores deve ser inteiro</t>
  </si>
  <si>
    <t xml:space="preserve">Número total de condutores comprimento Lb </t>
  </si>
  <si>
    <t>Comprimento total dos Condutores (L)</t>
  </si>
  <si>
    <t>Resistência elétrica da Malha (Rmalha)</t>
  </si>
  <si>
    <t>Diâmetro do condutor da Malha (Dmalha)</t>
  </si>
  <si>
    <t>Valor deve ser maio que:</t>
  </si>
  <si>
    <t>Ohm</t>
  </si>
  <si>
    <t>Comprimento total das hates</t>
  </si>
  <si>
    <t>Resist. elétrica da Malha com Haste(RmalhaHaste)</t>
  </si>
  <si>
    <t>Cálculo do Potencial do Passo</t>
  </si>
  <si>
    <t>Coeficientes da Malha</t>
  </si>
  <si>
    <t>Cálculo do Potencial do Toque</t>
  </si>
  <si>
    <t>Kp - Coeficiente ddp de 1m</t>
  </si>
  <si>
    <t>Resistividade superficial do solo</t>
  </si>
  <si>
    <t>Km - Coeficiênte da Malha</t>
  </si>
  <si>
    <t>Potencial Máximo de Passo na Periferia (VpsM)</t>
  </si>
  <si>
    <t>Ki - Coeficiênte de irregularidade</t>
  </si>
  <si>
    <t>Kii</t>
  </si>
  <si>
    <t>V</t>
  </si>
  <si>
    <t>Potencial de Passo Máximo Suportado pelo Homem</t>
  </si>
  <si>
    <t>Kh - Correção de profundidade</t>
  </si>
  <si>
    <t>N - correção consideração malha quadrada</t>
  </si>
  <si>
    <t>Dimensionamento relação Vpasso:</t>
  </si>
  <si>
    <t>N deve ser &lt; 25</t>
  </si>
  <si>
    <t>Km - Coeficiênte da Malha com haste</t>
  </si>
  <si>
    <t>Kii - coeficiente com hastes</t>
  </si>
  <si>
    <t>Potencial Máximo de Toque na Periferia (Vmalha)</t>
  </si>
  <si>
    <t>Potencial de Toque Máximo Suportado pelo Homem</t>
  </si>
  <si>
    <t>Dimencionamento relação Vtoque sem haste</t>
  </si>
  <si>
    <t>Dimencionamento relação Vtoque com haste</t>
  </si>
  <si>
    <t>GPR</t>
  </si>
  <si>
    <t>Potencial Máximo de Toque na Periferia (Vmalha) com hastes</t>
  </si>
  <si>
    <t>Resistividade do Solo</t>
  </si>
  <si>
    <t>Método Wenner</t>
  </si>
  <si>
    <t>Dist. (m)</t>
  </si>
  <si>
    <t>Leitura 1</t>
  </si>
  <si>
    <t>Leitura 2</t>
  </si>
  <si>
    <t>Leitura 3</t>
  </si>
  <si>
    <t>Leitura 4</t>
  </si>
  <si>
    <t>Desv.Med. 1</t>
  </si>
  <si>
    <t>Desv. Med. 1 %</t>
  </si>
  <si>
    <t>Dev. méd. 2</t>
  </si>
  <si>
    <t>Desv. Med. 2 %</t>
  </si>
  <si>
    <t>Dev. méd. 3</t>
  </si>
  <si>
    <t>Dev. méd. 3 %</t>
  </si>
  <si>
    <t>Devio médio 4</t>
  </si>
  <si>
    <t>Desv. méd. 4 %</t>
  </si>
  <si>
    <t>Resist. méd. (Ohm.m)</t>
  </si>
  <si>
    <t>x</t>
  </si>
  <si>
    <t>p1</t>
  </si>
  <si>
    <t>p(a1)</t>
  </si>
  <si>
    <t>a1</t>
  </si>
  <si>
    <t>p(a1)/p1</t>
  </si>
  <si>
    <t>h/a</t>
  </si>
  <si>
    <t>p(a2)/p1</t>
  </si>
  <si>
    <t>k</t>
  </si>
  <si>
    <t>h/a * a1</t>
  </si>
  <si>
    <t>h1 (m)</t>
  </si>
  <si>
    <t>p2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</si>
</sst>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0"/>
  </numFmts>
  <fonts count="12">
    <font>
      <sz val="10.0"/>
      <color rgb="FF000000"/>
      <name val="Arial"/>
    </font>
    <font>
      <sz val="24.0"/>
      <color theme="1"/>
      <name val="Arial"/>
    </font>
    <font>
      <sz val="14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color theme="1"/>
      <name val="Arial"/>
    </font>
    <font>
      <sz val="9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8.0"/>
      <color theme="1"/>
      <name val="Arial"/>
    </font>
    <font>
      <b/>
      <sz val="9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  <fill>
      <patternFill patternType="solid">
        <fgColor rgb="FFF3F3F3"/>
        <bgColor rgb="FFF3F3F3"/>
      </patternFill>
    </fill>
    <fill>
      <patternFill patternType="solid">
        <fgColor rgb="FFF9CB9C"/>
        <bgColor rgb="FFF9CB9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2" numFmtId="0" xfId="0" applyAlignment="1" applyFill="1" applyFont="1">
      <alignment horizontal="center" readingOrder="0"/>
    </xf>
    <xf borderId="0" fillId="3" fontId="3" numFmtId="0" xfId="0" applyAlignment="1" applyFont="1">
      <alignment horizontal="center" readingOrder="0"/>
    </xf>
    <xf borderId="0" fillId="3" fontId="4" numFmtId="0" xfId="0" applyAlignment="1" applyFont="1">
      <alignment horizontal="center" readingOrder="0"/>
    </xf>
    <xf borderId="0" fillId="4" fontId="5" numFmtId="0" xfId="0" applyAlignment="1" applyFill="1" applyFont="1">
      <alignment readingOrder="0"/>
    </xf>
    <xf borderId="0" fillId="5" fontId="6" numFmtId="0" xfId="0" applyAlignment="1" applyFill="1" applyFont="1">
      <alignment readingOrder="0"/>
    </xf>
    <xf borderId="0" fillId="5" fontId="6" numFmtId="0" xfId="0" applyAlignment="1" applyFont="1">
      <alignment horizontal="right" readingOrder="0"/>
    </xf>
    <xf borderId="0" fillId="6" fontId="5" numFmtId="0" xfId="0" applyAlignment="1" applyFill="1" applyFont="1">
      <alignment readingOrder="0"/>
    </xf>
    <xf borderId="0" fillId="4" fontId="6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5" fontId="8" numFmtId="0" xfId="0" applyAlignment="1" applyFont="1">
      <alignment horizontal="center" readingOrder="0"/>
    </xf>
    <xf borderId="0" fillId="7" fontId="6" numFmtId="0" xfId="0" applyAlignment="1" applyFill="1" applyFont="1">
      <alignment readingOrder="0"/>
    </xf>
    <xf borderId="0" fillId="8" fontId="6" numFmtId="0" xfId="0" applyAlignment="1" applyFill="1" applyFont="1">
      <alignment readingOrder="0"/>
    </xf>
    <xf borderId="0" fillId="5" fontId="9" numFmtId="0" xfId="0" applyAlignment="1" applyFont="1">
      <alignment horizontal="center" readingOrder="0"/>
    </xf>
    <xf borderId="0" fillId="0" fontId="6" numFmtId="0" xfId="0" applyFont="1"/>
    <xf borderId="0" fillId="0" fontId="6" numFmtId="164" xfId="0" applyFont="1" applyNumberFormat="1"/>
    <xf borderId="0" fillId="0" fontId="6" numFmtId="2" xfId="0" applyFont="1" applyNumberFormat="1"/>
    <xf borderId="1" fillId="5" fontId="6" numFmtId="0" xfId="0" applyAlignment="1" applyBorder="1" applyFont="1">
      <alignment readingOrder="0"/>
    </xf>
    <xf borderId="1" fillId="5" fontId="6" numFmtId="0" xfId="0" applyAlignment="1" applyBorder="1" applyFont="1">
      <alignment horizontal="right" readingOrder="0"/>
    </xf>
    <xf borderId="2" fillId="5" fontId="6" numFmtId="0" xfId="0" applyAlignment="1" applyBorder="1" applyFont="1">
      <alignment readingOrder="0"/>
    </xf>
    <xf borderId="1" fillId="5" fontId="10" numFmtId="0" xfId="0" applyAlignment="1" applyBorder="1" applyFont="1">
      <alignment readingOrder="0"/>
    </xf>
    <xf borderId="2" fillId="5" fontId="10" numFmtId="0" xfId="0" applyAlignment="1" applyBorder="1" applyFont="1">
      <alignment readingOrder="0"/>
    </xf>
    <xf borderId="3" fillId="5" fontId="10" numFmtId="0" xfId="0" applyAlignment="1" applyBorder="1" applyFont="1">
      <alignment readingOrder="0"/>
    </xf>
    <xf borderId="3" fillId="5" fontId="6" numFmtId="0" xfId="0" applyAlignment="1" applyBorder="1" applyFont="1">
      <alignment readingOrder="0"/>
    </xf>
    <xf borderId="4" fillId="4" fontId="6" numFmtId="0" xfId="0" applyAlignment="1" applyBorder="1" applyFont="1">
      <alignment readingOrder="0"/>
    </xf>
    <xf borderId="4" fillId="0" fontId="6" numFmtId="0" xfId="0" applyAlignment="1" applyBorder="1" applyFont="1">
      <alignment horizontal="center" vertical="bottom"/>
    </xf>
    <xf borderId="0" fillId="0" fontId="6" numFmtId="0" xfId="0" applyAlignment="1" applyFont="1">
      <alignment horizontal="center" vertical="bottom"/>
    </xf>
    <xf borderId="0" fillId="0" fontId="7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4" fillId="0" fontId="6" numFmtId="0" xfId="0" applyAlignment="1" applyBorder="1" applyFont="1">
      <alignment horizontal="center"/>
    </xf>
    <xf borderId="0" fillId="0" fontId="6" numFmtId="1" xfId="0" applyAlignment="1" applyFont="1" applyNumberFormat="1">
      <alignment horizontal="center"/>
    </xf>
    <xf borderId="0" fillId="0" fontId="6" numFmtId="0" xfId="0" applyAlignment="1" applyFont="1">
      <alignment horizontal="center"/>
    </xf>
    <xf borderId="5" fillId="0" fontId="6" numFmtId="0" xfId="0" applyAlignment="1" applyBorder="1" applyFont="1">
      <alignment horizontal="center" readingOrder="0"/>
    </xf>
    <xf borderId="5" fillId="0" fontId="6" numFmtId="0" xfId="0" applyAlignment="1" applyBorder="1" applyFont="1">
      <alignment horizontal="center"/>
    </xf>
    <xf borderId="5" fillId="0" fontId="6" numFmtId="1" xfId="0" applyAlignment="1" applyBorder="1" applyFont="1" applyNumberFormat="1">
      <alignment horizontal="center"/>
    </xf>
    <xf borderId="0" fillId="9" fontId="6" numFmtId="0" xfId="0" applyAlignment="1" applyFill="1" applyFont="1">
      <alignment horizontal="center" readingOrder="0"/>
    </xf>
    <xf borderId="4" fillId="0" fontId="6" numFmtId="2" xfId="0" applyAlignment="1" applyBorder="1" applyFont="1" applyNumberFormat="1">
      <alignment horizontal="center"/>
    </xf>
    <xf borderId="0" fillId="0" fontId="6" numFmtId="2" xfId="0" applyAlignment="1" applyFont="1" applyNumberFormat="1">
      <alignment horizontal="center"/>
    </xf>
    <xf borderId="0" fillId="9" fontId="6" numFmtId="2" xfId="0" applyAlignment="1" applyFont="1" applyNumberFormat="1">
      <alignment horizontal="center"/>
    </xf>
    <xf borderId="0" fillId="9" fontId="6" numFmtId="1" xfId="0" applyAlignment="1" applyFont="1" applyNumberFormat="1">
      <alignment horizontal="center"/>
    </xf>
    <xf borderId="5" fillId="0" fontId="6" numFmtId="2" xfId="0" applyAlignment="1" applyBorder="1" applyFont="1" applyNumberFormat="1">
      <alignment horizontal="center"/>
    </xf>
    <xf borderId="6" fillId="4" fontId="6" numFmtId="0" xfId="0" applyAlignment="1" applyBorder="1" applyFont="1">
      <alignment readingOrder="0"/>
    </xf>
    <xf borderId="6" fillId="0" fontId="6" numFmtId="0" xfId="0" applyAlignment="1" applyBorder="1" applyFont="1">
      <alignment horizontal="center" vertical="bottom"/>
    </xf>
    <xf borderId="7" fillId="0" fontId="6" numFmtId="0" xfId="0" applyAlignment="1" applyBorder="1" applyFont="1">
      <alignment horizontal="center" vertical="bottom"/>
    </xf>
    <xf borderId="7" fillId="0" fontId="6" numFmtId="0" xfId="0" applyAlignment="1" applyBorder="1" applyFont="1">
      <alignment horizontal="center" readingOrder="0"/>
    </xf>
    <xf borderId="6" fillId="0" fontId="6" numFmtId="0" xfId="0" applyAlignment="1" applyBorder="1" applyFont="1">
      <alignment horizontal="center"/>
    </xf>
    <xf borderId="7" fillId="0" fontId="6" numFmtId="1" xfId="0" applyAlignment="1" applyBorder="1" applyFont="1" applyNumberFormat="1">
      <alignment horizontal="center"/>
    </xf>
    <xf borderId="7" fillId="0" fontId="6" numFmtId="0" xfId="0" applyAlignment="1" applyBorder="1" applyFont="1">
      <alignment horizontal="center"/>
    </xf>
    <xf borderId="8" fillId="0" fontId="6" numFmtId="0" xfId="0" applyAlignment="1" applyBorder="1" applyFont="1">
      <alignment horizontal="center" readingOrder="0"/>
    </xf>
    <xf borderId="8" fillId="0" fontId="6" numFmtId="0" xfId="0" applyAlignment="1" applyBorder="1" applyFont="1">
      <alignment horizontal="center"/>
    </xf>
    <xf borderId="0" fillId="0" fontId="8" numFmtId="0" xfId="0" applyAlignment="1" applyFont="1">
      <alignment horizontal="center" readingOrder="0"/>
    </xf>
    <xf borderId="0" fillId="0" fontId="6" numFmtId="0" xfId="0" applyAlignment="1" applyFont="1">
      <alignment horizontal="right"/>
    </xf>
    <xf borderId="0" fillId="0" fontId="6" numFmtId="0" xfId="0" applyAlignment="1" applyFont="1">
      <alignment horizontal="righ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right"/>
    </xf>
    <xf borderId="0" fillId="4" fontId="11" numFmtId="0" xfId="0" applyAlignment="1" applyFont="1">
      <alignment readingOrder="0"/>
    </xf>
    <xf borderId="0" fillId="6" fontId="1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r>
              <a:t>Resistividade do Solo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marker>
            <c:symbol val="none"/>
          </c:marker>
          <c:cat>
            <c:strRef>
              <c:f>'Cálculo do Resistividade do Sol'!$A$6:$A$11</c:f>
            </c:strRef>
          </c:cat>
          <c:val>
            <c:numRef>
              <c:f>'Cálculo do Resistividade do Sol'!$N$6:$N$11</c:f>
            </c:numRef>
          </c:val>
          <c:smooth val="0"/>
        </c:ser>
        <c:axId val="1614608788"/>
        <c:axId val="1480525013"/>
      </c:lineChart>
      <c:catAx>
        <c:axId val="16146087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t>Espaçamento - a (m)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480525013"/>
      </c:catAx>
      <c:valAx>
        <c:axId val="14805250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t>Resistividade média - p (Ohm.m)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61460878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r>
              <a:t>Gráfico de Estratificação h x K</a:t>
            </a:r>
          </a:p>
        </c:rich>
      </c:tx>
      <c:overlay val="0"/>
    </c:title>
    <c:plotArea>
      <c:layout/>
      <c:lineChart>
        <c:ser>
          <c:idx val="0"/>
          <c:order val="0"/>
          <c:marker>
            <c:symbol val="none"/>
          </c:marker>
          <c:cat>
            <c:strRef>
              <c:f>'Cálculo do Resistividade do Sol'!$A$20:$A$28</c:f>
            </c:strRef>
          </c:cat>
          <c:val>
            <c:numRef>
              <c:f>'Cálculo do Resistividade do Sol'!$C$20:$C$28</c:f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'Cálculo do Resistividade do Sol'!$A$20:$A$28</c:f>
            </c:strRef>
          </c:cat>
          <c:val>
            <c:numRef>
              <c:f>'Cálculo do Resistividade do Sol'!$G$20:$G$28</c:f>
            </c:numRef>
          </c:val>
          <c:smooth val="0"/>
        </c:ser>
        <c:axId val="1491919940"/>
        <c:axId val="1630608064"/>
      </c:lineChart>
      <c:catAx>
        <c:axId val="14919199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t>K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630608064"/>
      </c:catAx>
      <c:valAx>
        <c:axId val="16306080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t>h (m)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</a:p>
        </c:txPr>
        <c:crossAx val="1491919940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Relationship Id="rId4" Type="http://schemas.openxmlformats.org/officeDocument/2006/relationships/image" Target="../media/image2.png"/><Relationship Id="rId5" Type="http://schemas.openxmlformats.org/officeDocument/2006/relationships/image" Target="../media/image18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6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16.png"/><Relationship Id="rId4" Type="http://schemas.openxmlformats.org/officeDocument/2006/relationships/image" Target="../media/image11.png"/><Relationship Id="rId9" Type="http://schemas.openxmlformats.org/officeDocument/2006/relationships/image" Target="../media/image17.png"/><Relationship Id="rId5" Type="http://schemas.openxmlformats.org/officeDocument/2006/relationships/image" Target="../media/image12.png"/><Relationship Id="rId6" Type="http://schemas.openxmlformats.org/officeDocument/2006/relationships/image" Target="../media/image13.png"/><Relationship Id="rId7" Type="http://schemas.openxmlformats.org/officeDocument/2006/relationships/image" Target="../media/image14.png"/><Relationship Id="rId8" Type="http://schemas.openxmlformats.org/officeDocument/2006/relationships/image" Target="../media/image15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7.png"/><Relationship Id="rId4" Type="http://schemas.openxmlformats.org/officeDocument/2006/relationships/image" Target="../media/image9.png"/><Relationship Id="rId5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171450</xdr:colOff>
      <xdr:row>13</xdr:row>
      <xdr:rowOff>57150</xdr:rowOff>
    </xdr:from>
    <xdr:ext cx="4333875" cy="26765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152400</xdr:colOff>
      <xdr:row>28</xdr:row>
      <xdr:rowOff>47625</xdr:rowOff>
    </xdr:from>
    <xdr:ext cx="4381500" cy="26765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304800</xdr:colOff>
      <xdr:row>0</xdr:row>
      <xdr:rowOff>47625</xdr:rowOff>
    </xdr:from>
    <xdr:ext cx="790575" cy="590550"/>
    <xdr:pic>
      <xdr:nvPicPr>
        <xdr:cNvPr id="0" name="image1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47625</xdr:rowOff>
    </xdr:from>
    <xdr:ext cx="514350" cy="542925"/>
    <xdr:pic>
      <xdr:nvPicPr>
        <xdr:cNvPr id="0" name="image2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</xdr:colOff>
      <xdr:row>29</xdr:row>
      <xdr:rowOff>180975</xdr:rowOff>
    </xdr:from>
    <xdr:ext cx="1752600" cy="647700"/>
    <xdr:pic>
      <xdr:nvPicPr>
        <xdr:cNvPr id="0" name="image18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723900</xdr:colOff>
      <xdr:row>0</xdr:row>
      <xdr:rowOff>47625</xdr:rowOff>
    </xdr:from>
    <xdr:ext cx="790575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1924050</xdr:colOff>
      <xdr:row>0</xdr:row>
      <xdr:rowOff>66675</xdr:rowOff>
    </xdr:from>
    <xdr:ext cx="514350" cy="5429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171450</xdr:colOff>
      <xdr:row>8</xdr:row>
      <xdr:rowOff>19050</xdr:rowOff>
    </xdr:from>
    <xdr:ext cx="2028825" cy="2286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2200275</xdr:colOff>
      <xdr:row>16</xdr:row>
      <xdr:rowOff>47625</xdr:rowOff>
    </xdr:from>
    <xdr:ext cx="2581275" cy="495300"/>
    <xdr:pic>
      <xdr:nvPicPr>
        <xdr:cNvPr id="0" name="image4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38100</xdr:colOff>
      <xdr:row>20</xdr:row>
      <xdr:rowOff>66675</xdr:rowOff>
    </xdr:from>
    <xdr:ext cx="733425" cy="190500"/>
    <xdr:pic>
      <xdr:nvPicPr>
        <xdr:cNvPr id="0" name="image6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1562100</xdr:colOff>
      <xdr:row>0</xdr:row>
      <xdr:rowOff>28575</xdr:rowOff>
    </xdr:from>
    <xdr:ext cx="790575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1819275</xdr:colOff>
      <xdr:row>0</xdr:row>
      <xdr:rowOff>57150</xdr:rowOff>
    </xdr:from>
    <xdr:ext cx="514350" cy="5429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</xdr:colOff>
      <xdr:row>20</xdr:row>
      <xdr:rowOff>171450</xdr:rowOff>
    </xdr:from>
    <xdr:ext cx="3781425" cy="590550"/>
    <xdr:pic>
      <xdr:nvPicPr>
        <xdr:cNvPr id="0" name="image5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3381375</xdr:colOff>
      <xdr:row>6</xdr:row>
      <xdr:rowOff>171450</xdr:rowOff>
    </xdr:from>
    <xdr:ext cx="3409950" cy="2105025"/>
    <xdr:pic>
      <xdr:nvPicPr>
        <xdr:cNvPr id="0" name="image8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438150</xdr:colOff>
      <xdr:row>0</xdr:row>
      <xdr:rowOff>47625</xdr:rowOff>
    </xdr:from>
    <xdr:ext cx="790575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1981200</xdr:colOff>
      <xdr:row>0</xdr:row>
      <xdr:rowOff>76200</xdr:rowOff>
    </xdr:from>
    <xdr:ext cx="514350" cy="5429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219075</xdr:colOff>
      <xdr:row>15</xdr:row>
      <xdr:rowOff>28575</xdr:rowOff>
    </xdr:from>
    <xdr:ext cx="1314450" cy="361950"/>
    <xdr:pic>
      <xdr:nvPicPr>
        <xdr:cNvPr id="0" name="image16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5</xdr:row>
      <xdr:rowOff>161925</xdr:rowOff>
    </xdr:from>
    <xdr:ext cx="3114675" cy="419100"/>
    <xdr:pic>
      <xdr:nvPicPr>
        <xdr:cNvPr id="0" name="image1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10</xdr:row>
      <xdr:rowOff>142875</xdr:rowOff>
    </xdr:from>
    <xdr:ext cx="790575" cy="200025"/>
    <xdr:pic>
      <xdr:nvPicPr>
        <xdr:cNvPr id="0" name="image12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9</xdr:row>
      <xdr:rowOff>28575</xdr:rowOff>
    </xdr:from>
    <xdr:ext cx="676275" cy="247650"/>
    <xdr:pic>
      <xdr:nvPicPr>
        <xdr:cNvPr id="0" name="image13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781050</xdr:colOff>
      <xdr:row>8</xdr:row>
      <xdr:rowOff>171450</xdr:rowOff>
    </xdr:from>
    <xdr:ext cx="752475" cy="361950"/>
    <xdr:pic>
      <xdr:nvPicPr>
        <xdr:cNvPr id="0" name="image14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95250</xdr:colOff>
      <xdr:row>7</xdr:row>
      <xdr:rowOff>161925</xdr:rowOff>
    </xdr:from>
    <xdr:ext cx="1257300" cy="247650"/>
    <xdr:pic>
      <xdr:nvPicPr>
        <xdr:cNvPr id="0" name="image15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219075</xdr:colOff>
      <xdr:row>16</xdr:row>
      <xdr:rowOff>190500</xdr:rowOff>
    </xdr:from>
    <xdr:ext cx="1428750" cy="323850"/>
    <xdr:pic>
      <xdr:nvPicPr>
        <xdr:cNvPr id="0" name="image17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819150</xdr:colOff>
      <xdr:row>0</xdr:row>
      <xdr:rowOff>0</xdr:rowOff>
    </xdr:from>
    <xdr:ext cx="790575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1857375</xdr:colOff>
      <xdr:row>0</xdr:row>
      <xdr:rowOff>28575</xdr:rowOff>
    </xdr:from>
    <xdr:ext cx="514350" cy="5429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200025</xdr:colOff>
      <xdr:row>11</xdr:row>
      <xdr:rowOff>38100</xdr:rowOff>
    </xdr:from>
    <xdr:ext cx="1819275" cy="361950"/>
    <xdr:pic>
      <xdr:nvPicPr>
        <xdr:cNvPr id="0" name="image7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200025</xdr:colOff>
      <xdr:row>9</xdr:row>
      <xdr:rowOff>19050</xdr:rowOff>
    </xdr:from>
    <xdr:ext cx="1409700" cy="419100"/>
    <xdr:pic>
      <xdr:nvPicPr>
        <xdr:cNvPr id="0" name="image9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</xdr:colOff>
      <xdr:row>5</xdr:row>
      <xdr:rowOff>47625</xdr:rowOff>
    </xdr:from>
    <xdr:ext cx="2171700" cy="419100"/>
    <xdr:pic>
      <xdr:nvPicPr>
        <xdr:cNvPr id="0" name="image10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43"/>
    <col customWidth="1" min="2" max="2" width="10.57"/>
    <col customWidth="1" min="3" max="3" width="8.71"/>
    <col customWidth="1" min="4" max="4" width="8.29"/>
    <col customWidth="1" min="5" max="5" width="8.43"/>
    <col customWidth="1" min="6" max="6" width="9.86"/>
    <col customWidth="1" min="7" max="7" width="11.57"/>
    <col customWidth="1" min="8" max="8" width="9.43"/>
    <col customWidth="1" min="9" max="9" width="11.57"/>
    <col customWidth="1" min="10" max="10" width="9.29"/>
    <col customWidth="1" min="11" max="11" width="11.0"/>
    <col customWidth="1" min="12" max="12" width="10.86"/>
    <col customWidth="1" min="13" max="13" width="11.43"/>
    <col customWidth="1" min="14" max="14" width="19.43"/>
  </cols>
  <sheetData>
    <row r="1">
      <c r="A1" s="1" t="s">
        <v>0</v>
      </c>
    </row>
    <row r="2">
      <c r="A2" s="2" t="s">
        <v>89</v>
      </c>
    </row>
    <row r="4">
      <c r="A4" s="4" t="s">
        <v>90</v>
      </c>
    </row>
    <row r="5" ht="27.75" customHeight="1">
      <c r="A5" s="19" t="s">
        <v>91</v>
      </c>
      <c r="B5" s="20" t="s">
        <v>92</v>
      </c>
      <c r="C5" s="21" t="s">
        <v>93</v>
      </c>
      <c r="D5" s="21" t="s">
        <v>94</v>
      </c>
      <c r="E5" s="21" t="s">
        <v>95</v>
      </c>
      <c r="F5" s="22" t="s">
        <v>96</v>
      </c>
      <c r="G5" s="23" t="s">
        <v>97</v>
      </c>
      <c r="H5" s="23" t="s">
        <v>98</v>
      </c>
      <c r="I5" s="23" t="s">
        <v>99</v>
      </c>
      <c r="J5" s="23" t="s">
        <v>100</v>
      </c>
      <c r="K5" s="23" t="s">
        <v>101</v>
      </c>
      <c r="L5" s="23" t="s">
        <v>102</v>
      </c>
      <c r="M5" s="24" t="s">
        <v>103</v>
      </c>
      <c r="N5" s="25" t="s">
        <v>104</v>
      </c>
    </row>
    <row r="6">
      <c r="A6" s="26">
        <v>0.5</v>
      </c>
      <c r="B6" s="27">
        <v>487.0</v>
      </c>
      <c r="C6" s="28">
        <v>666.0</v>
      </c>
      <c r="D6" s="29" t="s">
        <v>105</v>
      </c>
      <c r="E6" s="30" t="s">
        <v>105</v>
      </c>
      <c r="F6" s="31">
        <f t="shared" ref="F6:F11" si="1">ABS(B6-N6)</f>
        <v>89.5</v>
      </c>
      <c r="G6" s="32">
        <f t="shared" ref="G6:G11" si="2">(F6*100)/N6</f>
        <v>15.52471813</v>
      </c>
      <c r="H6" s="33">
        <f t="shared" ref="H6:H11" si="3">ABS(C6-N6)</f>
        <v>89.5</v>
      </c>
      <c r="I6" s="32">
        <f t="shared" ref="I6:I11" si="4">(H6*100)/N6</f>
        <v>15.52471813</v>
      </c>
      <c r="J6" s="30" t="s">
        <v>105</v>
      </c>
      <c r="K6" s="30" t="s">
        <v>105</v>
      </c>
      <c r="L6" s="30" t="s">
        <v>105</v>
      </c>
      <c r="M6" s="34" t="s">
        <v>105</v>
      </c>
      <c r="N6" s="35">
        <f>(B6+C6)/2</f>
        <v>576.5</v>
      </c>
    </row>
    <row r="7">
      <c r="A7" s="26">
        <v>1.0</v>
      </c>
      <c r="B7" s="27">
        <v>562.0</v>
      </c>
      <c r="C7" s="28">
        <v>454.0</v>
      </c>
      <c r="D7" s="29">
        <v>532.0</v>
      </c>
      <c r="E7" s="30">
        <v>357.0</v>
      </c>
      <c r="F7" s="31">
        <f t="shared" si="1"/>
        <v>85.75</v>
      </c>
      <c r="G7" s="32">
        <f t="shared" si="2"/>
        <v>18.00524934</v>
      </c>
      <c r="H7" s="33">
        <f t="shared" si="3"/>
        <v>22.25</v>
      </c>
      <c r="I7" s="32">
        <f t="shared" si="4"/>
        <v>4.67191601</v>
      </c>
      <c r="J7" s="33">
        <f t="shared" ref="J7:J10" si="5">ABS(D7-N7)</f>
        <v>55.75</v>
      </c>
      <c r="K7" s="32">
        <f t="shared" ref="K7:K10" si="6">J7*100/N7</f>
        <v>11.70603675</v>
      </c>
      <c r="L7" s="33">
        <f t="shared" ref="L7:L10" si="7">ABS(E7-N7)</f>
        <v>119.25</v>
      </c>
      <c r="M7" s="36">
        <f t="shared" ref="M7:M10" si="8">L7*100/N7</f>
        <v>25.03937008</v>
      </c>
      <c r="N7" s="35">
        <f t="shared" ref="N7:N9" si="9">(B7+C7+D7+E7)/4</f>
        <v>476.25</v>
      </c>
    </row>
    <row r="8">
      <c r="A8" s="26">
        <v>2.0</v>
      </c>
      <c r="B8" s="27">
        <v>504.0</v>
      </c>
      <c r="C8" s="28">
        <v>482.0</v>
      </c>
      <c r="D8" s="30">
        <v>492.0</v>
      </c>
      <c r="E8" s="30">
        <v>363.0</v>
      </c>
      <c r="F8" s="31">
        <f t="shared" si="1"/>
        <v>43.75</v>
      </c>
      <c r="G8" s="32">
        <f t="shared" si="2"/>
        <v>9.505703422</v>
      </c>
      <c r="H8" s="33">
        <f t="shared" si="3"/>
        <v>21.75</v>
      </c>
      <c r="I8" s="32">
        <f t="shared" si="4"/>
        <v>4.725692558</v>
      </c>
      <c r="J8" s="33">
        <f t="shared" si="5"/>
        <v>31.75</v>
      </c>
      <c r="K8" s="32">
        <f t="shared" si="6"/>
        <v>6.898424769</v>
      </c>
      <c r="L8" s="33">
        <f t="shared" si="7"/>
        <v>97.25</v>
      </c>
      <c r="M8" s="36">
        <f t="shared" si="8"/>
        <v>21.12982075</v>
      </c>
      <c r="N8" s="35">
        <f t="shared" si="9"/>
        <v>460.25</v>
      </c>
    </row>
    <row r="9">
      <c r="A9" s="26">
        <v>4.0</v>
      </c>
      <c r="B9" s="27">
        <v>376.0</v>
      </c>
      <c r="C9" s="28">
        <v>354.0</v>
      </c>
      <c r="D9" s="30">
        <v>500.0</v>
      </c>
      <c r="E9" s="30">
        <v>343.0</v>
      </c>
      <c r="F9" s="31">
        <f t="shared" si="1"/>
        <v>17.25</v>
      </c>
      <c r="G9" s="32">
        <f t="shared" si="2"/>
        <v>4.386522568</v>
      </c>
      <c r="H9" s="33">
        <f t="shared" si="3"/>
        <v>39.25</v>
      </c>
      <c r="I9" s="32">
        <f t="shared" si="4"/>
        <v>9.980928163</v>
      </c>
      <c r="J9" s="33">
        <f t="shared" si="5"/>
        <v>106.75</v>
      </c>
      <c r="K9" s="32">
        <f t="shared" si="6"/>
        <v>27.14558169</v>
      </c>
      <c r="L9" s="33">
        <f t="shared" si="7"/>
        <v>50.25</v>
      </c>
      <c r="M9" s="36">
        <f t="shared" si="8"/>
        <v>12.77813096</v>
      </c>
      <c r="N9" s="35">
        <f t="shared" si="9"/>
        <v>393.25</v>
      </c>
    </row>
    <row r="10">
      <c r="A10" s="26">
        <v>8.0</v>
      </c>
      <c r="B10" s="27">
        <v>539.0</v>
      </c>
      <c r="C10" s="28">
        <v>298.0</v>
      </c>
      <c r="D10" s="37">
        <v>1066.0</v>
      </c>
      <c r="E10" s="30">
        <v>361.0</v>
      </c>
      <c r="F10" s="38">
        <f t="shared" si="1"/>
        <v>139.6666667</v>
      </c>
      <c r="G10" s="32">
        <f t="shared" si="2"/>
        <v>34.97495826</v>
      </c>
      <c r="H10" s="39">
        <f t="shared" si="3"/>
        <v>101.3333333</v>
      </c>
      <c r="I10" s="32">
        <f t="shared" si="4"/>
        <v>25.37562604</v>
      </c>
      <c r="J10" s="40">
        <f t="shared" si="5"/>
        <v>666.6666667</v>
      </c>
      <c r="K10" s="41">
        <f t="shared" si="6"/>
        <v>166.9449082</v>
      </c>
      <c r="L10" s="39">
        <f t="shared" si="7"/>
        <v>38.33333333</v>
      </c>
      <c r="M10" s="36">
        <f t="shared" si="8"/>
        <v>9.59933222</v>
      </c>
      <c r="N10" s="42">
        <f>(B10+C10+E10)/3</f>
        <v>399.3333333</v>
      </c>
    </row>
    <row r="11">
      <c r="A11" s="43">
        <v>12.0</v>
      </c>
      <c r="B11" s="44">
        <v>633.0</v>
      </c>
      <c r="C11" s="45">
        <v>374.0</v>
      </c>
      <c r="D11" s="46" t="s">
        <v>105</v>
      </c>
      <c r="E11" s="46" t="s">
        <v>105</v>
      </c>
      <c r="F11" s="47">
        <f t="shared" si="1"/>
        <v>129.5</v>
      </c>
      <c r="G11" s="48">
        <f t="shared" si="2"/>
        <v>25.71996028</v>
      </c>
      <c r="H11" s="49">
        <f t="shared" si="3"/>
        <v>129.5</v>
      </c>
      <c r="I11" s="48">
        <f t="shared" si="4"/>
        <v>25.71996028</v>
      </c>
      <c r="J11" s="46" t="s">
        <v>105</v>
      </c>
      <c r="K11" s="46" t="s">
        <v>105</v>
      </c>
      <c r="L11" s="46" t="s">
        <v>105</v>
      </c>
      <c r="M11" s="50" t="s">
        <v>105</v>
      </c>
      <c r="N11" s="51">
        <f>(B11+C11)/2</f>
        <v>503.5</v>
      </c>
    </row>
    <row r="13">
      <c r="A13" s="52"/>
      <c r="B13" s="52"/>
      <c r="C13" s="52"/>
      <c r="D13" s="52"/>
    </row>
    <row r="14">
      <c r="A14" s="12" t="s">
        <v>24</v>
      </c>
    </row>
    <row r="15">
      <c r="A15" s="14" t="s">
        <v>106</v>
      </c>
      <c r="B15" s="53">
        <f>N6</f>
        <v>576.5</v>
      </c>
    </row>
    <row r="16">
      <c r="A16" s="14" t="s">
        <v>107</v>
      </c>
      <c r="B16" s="54">
        <v>460.25</v>
      </c>
      <c r="E16" s="10">
        <v>394.25</v>
      </c>
    </row>
    <row r="17">
      <c r="A17" s="14" t="s">
        <v>108</v>
      </c>
      <c r="B17" s="54">
        <v>2.0</v>
      </c>
      <c r="C17" s="55"/>
      <c r="D17" s="55"/>
      <c r="E17" s="10">
        <v>4.0</v>
      </c>
    </row>
    <row r="18">
      <c r="A18" s="14" t="s">
        <v>109</v>
      </c>
      <c r="B18" s="56">
        <f>B16/B15</f>
        <v>0.7983521249</v>
      </c>
      <c r="C18" s="10" t="s">
        <v>110</v>
      </c>
      <c r="D18" s="10" t="s">
        <v>111</v>
      </c>
      <c r="E18" s="16">
        <f>E16/B15</f>
        <v>0.68386817</v>
      </c>
    </row>
    <row r="19">
      <c r="A19" s="10" t="s">
        <v>112</v>
      </c>
      <c r="B19" s="54" t="s">
        <v>110</v>
      </c>
      <c r="C19" s="10" t="s">
        <v>113</v>
      </c>
      <c r="D19" s="11"/>
      <c r="E19" s="10" t="s">
        <v>112</v>
      </c>
      <c r="F19" s="54" t="s">
        <v>110</v>
      </c>
      <c r="G19" s="10" t="s">
        <v>113</v>
      </c>
      <c r="I19" s="57" t="s">
        <v>5</v>
      </c>
      <c r="J19" s="5"/>
    </row>
    <row r="20">
      <c r="A20" s="10">
        <v>-0.2</v>
      </c>
      <c r="B20" s="10">
        <v>0.43</v>
      </c>
      <c r="C20" s="16">
        <f t="shared" ref="C20:C28" si="10">B20*2</f>
        <v>0.86</v>
      </c>
      <c r="E20" s="10">
        <v>-0.2</v>
      </c>
      <c r="F20" s="10">
        <v>0.12</v>
      </c>
      <c r="G20" s="16">
        <f t="shared" ref="G20:G28" si="11">F20*4</f>
        <v>0.48</v>
      </c>
      <c r="I20" s="58" t="s">
        <v>10</v>
      </c>
      <c r="J20" s="8"/>
    </row>
    <row r="21">
      <c r="A21" s="10">
        <v>-0.3</v>
      </c>
      <c r="B21" s="10">
        <v>0.65</v>
      </c>
      <c r="C21" s="16">
        <f t="shared" si="10"/>
        <v>1.3</v>
      </c>
      <c r="E21" s="10">
        <v>-0.3</v>
      </c>
      <c r="F21" s="10">
        <v>0.41</v>
      </c>
      <c r="G21" s="16">
        <f t="shared" si="11"/>
        <v>1.64</v>
      </c>
    </row>
    <row r="22">
      <c r="A22" s="10">
        <v>-0.4</v>
      </c>
      <c r="B22" s="10">
        <v>0.8</v>
      </c>
      <c r="C22" s="16">
        <f t="shared" si="10"/>
        <v>1.6</v>
      </c>
      <c r="E22" s="10">
        <v>-0.4</v>
      </c>
      <c r="F22" s="10">
        <v>0.58</v>
      </c>
      <c r="G22" s="16">
        <f t="shared" si="11"/>
        <v>2.32</v>
      </c>
    </row>
    <row r="23">
      <c r="A23" s="10">
        <v>-0.5</v>
      </c>
      <c r="B23" s="10">
        <v>0.9</v>
      </c>
      <c r="C23" s="16">
        <f t="shared" si="10"/>
        <v>1.8</v>
      </c>
      <c r="E23" s="10">
        <v>-0.5</v>
      </c>
      <c r="F23" s="10">
        <v>0.68</v>
      </c>
      <c r="G23" s="16">
        <f t="shared" si="11"/>
        <v>2.72</v>
      </c>
    </row>
    <row r="24">
      <c r="A24" s="10">
        <v>-0.6</v>
      </c>
      <c r="B24" s="10">
        <v>0.98</v>
      </c>
      <c r="C24" s="16">
        <f t="shared" si="10"/>
        <v>1.96</v>
      </c>
      <c r="E24" s="10">
        <v>-0.6</v>
      </c>
      <c r="F24" s="10">
        <v>0.78</v>
      </c>
      <c r="G24" s="16">
        <f t="shared" si="11"/>
        <v>3.12</v>
      </c>
    </row>
    <row r="25">
      <c r="A25" s="10">
        <v>-0.7</v>
      </c>
      <c r="B25" s="10">
        <v>1.08</v>
      </c>
      <c r="C25" s="16">
        <f t="shared" si="10"/>
        <v>2.16</v>
      </c>
      <c r="E25" s="10">
        <v>-0.7</v>
      </c>
      <c r="F25" s="10">
        <v>0.82</v>
      </c>
      <c r="G25" s="16">
        <f t="shared" si="11"/>
        <v>3.28</v>
      </c>
    </row>
    <row r="26">
      <c r="A26" s="10">
        <v>-0.8</v>
      </c>
      <c r="B26" s="10">
        <v>1.12</v>
      </c>
      <c r="C26" s="16">
        <f t="shared" si="10"/>
        <v>2.24</v>
      </c>
      <c r="E26" s="10">
        <v>-0.8</v>
      </c>
      <c r="F26" s="10">
        <v>0.9</v>
      </c>
      <c r="G26" s="16">
        <f t="shared" si="11"/>
        <v>3.6</v>
      </c>
    </row>
    <row r="27">
      <c r="A27" s="10">
        <v>-0.9</v>
      </c>
      <c r="B27" s="10">
        <v>1.19</v>
      </c>
      <c r="C27" s="16">
        <f t="shared" si="10"/>
        <v>2.38</v>
      </c>
      <c r="E27" s="10">
        <v>-0.9</v>
      </c>
      <c r="F27" s="10">
        <v>0.95</v>
      </c>
      <c r="G27" s="16">
        <f t="shared" si="11"/>
        <v>3.8</v>
      </c>
    </row>
    <row r="28">
      <c r="A28" s="10">
        <v>-1.0</v>
      </c>
      <c r="B28" s="10">
        <v>1.23</v>
      </c>
      <c r="C28" s="16">
        <f t="shared" si="10"/>
        <v>2.46</v>
      </c>
      <c r="E28" s="10">
        <v>-1.0</v>
      </c>
      <c r="F28" s="10">
        <v>1.01</v>
      </c>
      <c r="G28" s="16">
        <f t="shared" si="11"/>
        <v>4.04</v>
      </c>
    </row>
    <row r="31">
      <c r="A31" s="10" t="s">
        <v>114</v>
      </c>
      <c r="B31" s="10">
        <v>1.1</v>
      </c>
    </row>
    <row r="32">
      <c r="A32" s="10" t="s">
        <v>112</v>
      </c>
      <c r="B32" s="10">
        <v>-0.25</v>
      </c>
    </row>
    <row r="34">
      <c r="A34" s="10" t="s">
        <v>115</v>
      </c>
      <c r="B34" s="16">
        <f>SQRT((B15^2)+B32)</f>
        <v>576.4997832</v>
      </c>
    </row>
  </sheetData>
  <mergeCells count="4">
    <mergeCell ref="A1:N1"/>
    <mergeCell ref="A2:N2"/>
    <mergeCell ref="A4:N4"/>
    <mergeCell ref="A14:E1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6.71"/>
    <col customWidth="1" min="3" max="3" width="10.71"/>
    <col customWidth="1" min="4" max="4" width="34.14"/>
    <col customWidth="1" min="5" max="5" width="8.0"/>
    <col customWidth="1" min="6" max="6" width="3.86"/>
    <col customWidth="1" min="7" max="7" width="9.43"/>
  </cols>
  <sheetData>
    <row r="1">
      <c r="A1" s="1" t="s">
        <v>0</v>
      </c>
    </row>
    <row r="2">
      <c r="A2" s="2" t="s">
        <v>1</v>
      </c>
    </row>
    <row r="4">
      <c r="A4" s="4" t="s">
        <v>4</v>
      </c>
      <c r="F4" s="5" t="s">
        <v>5</v>
      </c>
    </row>
    <row r="5">
      <c r="A5" s="6" t="s">
        <v>6</v>
      </c>
      <c r="B5" s="7" t="s">
        <v>7</v>
      </c>
      <c r="C5" s="6" t="s">
        <v>8</v>
      </c>
      <c r="D5" s="6" t="s">
        <v>9</v>
      </c>
      <c r="F5" s="8" t="s">
        <v>10</v>
      </c>
    </row>
    <row r="6">
      <c r="A6" s="9" t="s">
        <v>13</v>
      </c>
      <c r="B6" s="10">
        <v>0.2</v>
      </c>
      <c r="C6" s="10" t="s">
        <v>14</v>
      </c>
      <c r="D6" s="11" t="s">
        <v>16</v>
      </c>
    </row>
    <row r="7">
      <c r="A7" s="9" t="s">
        <v>19</v>
      </c>
      <c r="B7" s="10">
        <v>25190.0</v>
      </c>
      <c r="C7" s="10" t="s">
        <v>21</v>
      </c>
      <c r="D7" s="11" t="s">
        <v>22</v>
      </c>
    </row>
    <row r="8">
      <c r="A8" s="12" t="s">
        <v>24</v>
      </c>
    </row>
    <row r="9">
      <c r="A9" s="14" t="s">
        <v>30</v>
      </c>
      <c r="B9" s="16">
        <f>0.6*B7</f>
        <v>15114</v>
      </c>
      <c r="C9" s="10" t="s">
        <v>21</v>
      </c>
      <c r="D9" s="10" t="s">
        <v>34</v>
      </c>
    </row>
    <row r="11">
      <c r="A11" s="4" t="s">
        <v>36</v>
      </c>
    </row>
    <row r="12">
      <c r="A12" s="6" t="s">
        <v>6</v>
      </c>
      <c r="B12" s="7" t="s">
        <v>7</v>
      </c>
      <c r="C12" s="6" t="s">
        <v>8</v>
      </c>
      <c r="D12" s="6" t="s">
        <v>9</v>
      </c>
    </row>
    <row r="13">
      <c r="A13" s="9" t="s">
        <v>37</v>
      </c>
      <c r="B13" s="10">
        <v>250.0</v>
      </c>
      <c r="C13" s="10" t="s">
        <v>38</v>
      </c>
      <c r="D13" s="11" t="s">
        <v>39</v>
      </c>
    </row>
    <row r="14">
      <c r="A14" s="9" t="s">
        <v>44</v>
      </c>
      <c r="B14" s="10">
        <v>250.0</v>
      </c>
      <c r="C14" s="10" t="s">
        <v>38</v>
      </c>
      <c r="D14" s="11" t="s">
        <v>47</v>
      </c>
    </row>
    <row r="15">
      <c r="A15" s="9" t="s">
        <v>48</v>
      </c>
      <c r="B15" s="10">
        <v>30.0</v>
      </c>
      <c r="C15" s="10" t="s">
        <v>38</v>
      </c>
      <c r="D15" s="11" t="s">
        <v>49</v>
      </c>
    </row>
    <row r="16">
      <c r="A16" s="12" t="s">
        <v>24</v>
      </c>
    </row>
    <row r="17">
      <c r="A17" s="14" t="s">
        <v>50</v>
      </c>
      <c r="B17" s="16">
        <f>(B7)/(226.53*(SQRT((1/B6)*LN(((B14-B15)/(234+B15))+1))))</f>
        <v>63.87522918</v>
      </c>
      <c r="C17" s="10" t="s">
        <v>51</v>
      </c>
      <c r="D17" s="11" t="s">
        <v>52</v>
      </c>
    </row>
    <row r="18">
      <c r="A18" s="14" t="s">
        <v>53</v>
      </c>
      <c r="B18" s="16">
        <f>(B9)/(226.53*(SQRT((1/B6)*LN(((B13-B15)/(234+B15))+1))))</f>
        <v>38.32513751</v>
      </c>
      <c r="C18" s="10" t="s">
        <v>51</v>
      </c>
      <c r="D18" s="11" t="s">
        <v>52</v>
      </c>
    </row>
    <row r="19">
      <c r="A19" s="14" t="s">
        <v>54</v>
      </c>
      <c r="B19" s="10">
        <v>35.0</v>
      </c>
      <c r="C19" s="10" t="s">
        <v>51</v>
      </c>
    </row>
    <row r="20">
      <c r="A20" s="14" t="s">
        <v>55</v>
      </c>
      <c r="B20" s="10">
        <v>35.0</v>
      </c>
      <c r="C20" s="10" t="s">
        <v>51</v>
      </c>
    </row>
    <row r="21">
      <c r="A21" s="14" t="s">
        <v>56</v>
      </c>
      <c r="B21" s="17">
        <f t="shared" ref="B21:B22" si="1">SQRT(B19*4/pi())*10^-3</f>
        <v>0.006675581178</v>
      </c>
      <c r="C21" s="10" t="s">
        <v>18</v>
      </c>
    </row>
    <row r="22">
      <c r="A22" s="14" t="s">
        <v>61</v>
      </c>
      <c r="B22" s="17">
        <f t="shared" si="1"/>
        <v>0.006675581178</v>
      </c>
      <c r="C22" s="10" t="s">
        <v>18</v>
      </c>
      <c r="D22" s="10" t="s">
        <v>62</v>
      </c>
    </row>
    <row r="23">
      <c r="D23" s="16">
        <f>0.25*'Cálculo da Resistência da Malha'!B11</f>
        <v>0.25</v>
      </c>
      <c r="E23" s="10" t="s">
        <v>18</v>
      </c>
    </row>
  </sheetData>
  <mergeCells count="6">
    <mergeCell ref="A1:F1"/>
    <mergeCell ref="A2:F2"/>
    <mergeCell ref="A4:D4"/>
    <mergeCell ref="A8:D8"/>
    <mergeCell ref="A11:D11"/>
    <mergeCell ref="A16:D16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3.71"/>
    <col customWidth="1" min="3" max="3" width="10.71"/>
    <col customWidth="1" min="4" max="4" width="51.14"/>
    <col customWidth="1" min="5" max="5" width="4.86"/>
    <col customWidth="1" min="6" max="6" width="3.43"/>
  </cols>
  <sheetData>
    <row r="1">
      <c r="A1" s="1" t="s">
        <v>0</v>
      </c>
    </row>
    <row r="2">
      <c r="A2" s="2" t="s">
        <v>2</v>
      </c>
    </row>
    <row r="4">
      <c r="A4" s="3" t="s">
        <v>3</v>
      </c>
      <c r="F4" s="5" t="s">
        <v>5</v>
      </c>
    </row>
    <row r="5">
      <c r="A5" s="6" t="s">
        <v>6</v>
      </c>
      <c r="B5" s="7" t="s">
        <v>7</v>
      </c>
      <c r="C5" s="6" t="s">
        <v>8</v>
      </c>
      <c r="D5" s="6" t="s">
        <v>9</v>
      </c>
      <c r="F5" s="8" t="s">
        <v>10</v>
      </c>
    </row>
    <row r="6">
      <c r="A6" s="9" t="s">
        <v>11</v>
      </c>
      <c r="B6" s="10">
        <v>432.0</v>
      </c>
      <c r="C6" s="10" t="s">
        <v>12</v>
      </c>
      <c r="D6" s="11"/>
    </row>
    <row r="7">
      <c r="A7" s="3" t="s">
        <v>15</v>
      </c>
    </row>
    <row r="8">
      <c r="A8" s="6" t="s">
        <v>6</v>
      </c>
      <c r="B8" s="7" t="s">
        <v>7</v>
      </c>
      <c r="C8" s="6" t="s">
        <v>8</v>
      </c>
      <c r="D8" s="6" t="s">
        <v>9</v>
      </c>
    </row>
    <row r="9">
      <c r="A9" s="9" t="s">
        <v>17</v>
      </c>
      <c r="B9" s="10">
        <v>50.0</v>
      </c>
      <c r="C9" s="10" t="s">
        <v>18</v>
      </c>
      <c r="D9" s="11"/>
    </row>
    <row r="10">
      <c r="A10" s="9" t="s">
        <v>20</v>
      </c>
      <c r="B10" s="10">
        <v>40.0</v>
      </c>
      <c r="C10" s="10" t="s">
        <v>18</v>
      </c>
      <c r="D10" s="11"/>
    </row>
    <row r="11">
      <c r="A11" s="9" t="s">
        <v>23</v>
      </c>
      <c r="B11" s="10">
        <v>1.0</v>
      </c>
      <c r="C11" s="10" t="s">
        <v>18</v>
      </c>
      <c r="D11" s="11" t="s">
        <v>25</v>
      </c>
    </row>
    <row r="12">
      <c r="A12" s="9" t="s">
        <v>26</v>
      </c>
      <c r="B12" s="10">
        <v>5.0</v>
      </c>
      <c r="C12" s="10" t="s">
        <v>27</v>
      </c>
      <c r="D12" s="11"/>
    </row>
    <row r="13">
      <c r="A13" s="9" t="s">
        <v>28</v>
      </c>
      <c r="B13" s="10">
        <v>5.0</v>
      </c>
      <c r="C13" s="10" t="s">
        <v>27</v>
      </c>
      <c r="D13" s="11"/>
    </row>
    <row r="14">
      <c r="A14" s="13" t="s">
        <v>29</v>
      </c>
      <c r="B14" s="10">
        <v>44.0</v>
      </c>
      <c r="D14" s="11"/>
    </row>
    <row r="15">
      <c r="A15" s="13" t="s">
        <v>31</v>
      </c>
      <c r="B15" s="10">
        <v>2.5</v>
      </c>
      <c r="D15" s="11"/>
    </row>
    <row r="16">
      <c r="A16" s="15" t="s">
        <v>24</v>
      </c>
    </row>
    <row r="17">
      <c r="A17" s="14" t="s">
        <v>32</v>
      </c>
      <c r="B17" s="16">
        <f>B9*B10</f>
        <v>2000</v>
      </c>
      <c r="C17" s="10" t="s">
        <v>33</v>
      </c>
      <c r="D17" s="11"/>
    </row>
    <row r="18">
      <c r="A18" s="14" t="s">
        <v>35</v>
      </c>
      <c r="B18" s="16">
        <f t="shared" ref="B18:B19" si="1">B9*B12*0.01</f>
        <v>2.5</v>
      </c>
      <c r="C18" s="10" t="s">
        <v>18</v>
      </c>
      <c r="D18" s="11" t="s">
        <v>40</v>
      </c>
    </row>
    <row r="19">
      <c r="A19" s="14" t="s">
        <v>41</v>
      </c>
      <c r="B19" s="16">
        <f t="shared" si="1"/>
        <v>2</v>
      </c>
      <c r="C19" s="10" t="s">
        <v>18</v>
      </c>
      <c r="D19" s="11" t="s">
        <v>42</v>
      </c>
    </row>
    <row r="20">
      <c r="A20" s="13" t="s">
        <v>43</v>
      </c>
      <c r="B20" s="10">
        <v>2.5</v>
      </c>
      <c r="C20" s="10" t="s">
        <v>18</v>
      </c>
      <c r="D20" s="11" t="s">
        <v>45</v>
      </c>
    </row>
    <row r="21">
      <c r="A21" s="14" t="s">
        <v>46</v>
      </c>
      <c r="B21" s="16">
        <f>(B10/B20)+1</f>
        <v>17</v>
      </c>
      <c r="D21" s="11" t="s">
        <v>57</v>
      </c>
    </row>
    <row r="22">
      <c r="A22" s="14" t="s">
        <v>58</v>
      </c>
      <c r="B22" s="16">
        <f>(B9/B20)+1</f>
        <v>21</v>
      </c>
      <c r="D22" s="11" t="s">
        <v>57</v>
      </c>
    </row>
    <row r="23">
      <c r="A23" s="14" t="s">
        <v>59</v>
      </c>
      <c r="B23" s="16">
        <f>B22*B10 + B21*B9</f>
        <v>1690</v>
      </c>
      <c r="C23" s="10" t="s">
        <v>18</v>
      </c>
    </row>
    <row r="24">
      <c r="A24" s="14" t="s">
        <v>60</v>
      </c>
      <c r="B24" s="16">
        <f>B6*((1/B23) + ((1/(SQRT(20*B17))*(1+(1/(1+(B11*SQRT(20/B17))))))))</f>
        <v>4.379257665</v>
      </c>
      <c r="C24" s="10" t="s">
        <v>63</v>
      </c>
    </row>
    <row r="25">
      <c r="A25" s="14" t="s">
        <v>64</v>
      </c>
      <c r="B25" s="16">
        <f>B14*B15</f>
        <v>110</v>
      </c>
      <c r="C25" s="10" t="s">
        <v>18</v>
      </c>
    </row>
    <row r="26">
      <c r="A26" s="14" t="s">
        <v>65</v>
      </c>
      <c r="B26" s="16">
        <f>B6*((1/(B23+B25)) + ((1/(SQRT(20*B17))*(1+(1/(1+(B11*SQRT(20/B17))))))))</f>
        <v>4.363636364</v>
      </c>
      <c r="C26" s="10" t="s">
        <v>63</v>
      </c>
    </row>
  </sheetData>
  <mergeCells count="5">
    <mergeCell ref="A1:F1"/>
    <mergeCell ref="A2:F2"/>
    <mergeCell ref="A4:D4"/>
    <mergeCell ref="A7:D7"/>
    <mergeCell ref="A16:D1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3.43"/>
    <col customWidth="1" min="3" max="3" width="10.71"/>
    <col customWidth="1" min="4" max="4" width="39.0"/>
    <col customWidth="1" min="5" max="5" width="5.43"/>
    <col customWidth="1" min="6" max="6" width="2.14"/>
  </cols>
  <sheetData>
    <row r="1">
      <c r="A1" s="1" t="s">
        <v>0</v>
      </c>
    </row>
    <row r="2">
      <c r="A2" s="2" t="s">
        <v>68</v>
      </c>
    </row>
    <row r="3">
      <c r="A3" s="3" t="s">
        <v>3</v>
      </c>
      <c r="F3" s="5" t="s">
        <v>5</v>
      </c>
    </row>
    <row r="4">
      <c r="A4" s="6" t="s">
        <v>6</v>
      </c>
      <c r="B4" s="7" t="s">
        <v>7</v>
      </c>
      <c r="C4" s="6" t="s">
        <v>8</v>
      </c>
      <c r="D4" s="6" t="s">
        <v>9</v>
      </c>
      <c r="F4" s="8" t="s">
        <v>10</v>
      </c>
    </row>
    <row r="5">
      <c r="A5" s="9" t="s">
        <v>70</v>
      </c>
      <c r="B5" s="10">
        <v>10000.0</v>
      </c>
      <c r="C5" s="10" t="s">
        <v>12</v>
      </c>
      <c r="D5" s="11"/>
    </row>
    <row r="6">
      <c r="A6" s="3" t="s">
        <v>67</v>
      </c>
    </row>
    <row r="7">
      <c r="A7" s="6" t="s">
        <v>6</v>
      </c>
      <c r="B7" s="7" t="s">
        <v>7</v>
      </c>
      <c r="C7" s="6" t="s">
        <v>8</v>
      </c>
      <c r="D7" s="6" t="s">
        <v>9</v>
      </c>
    </row>
    <row r="8">
      <c r="A8" s="14" t="s">
        <v>71</v>
      </c>
      <c r="B8" s="16">
        <f>(1/ (2*PI())) *(LN((('Cálculo da Resistência da Malha'!B20^2)/(16* 'Cálculo da Resistência da Malha'!B11* 'Cálculo do Condutor'!B22))+((('Cálculo da Resistência da Malha'!B20+ 2*'Cálculo da Resistência da Malha'!B11)^2)/(8*'Cálculo do Condutor'!B22*'Cálculo da Resistência da Malha'!B20))-('Cálculo da Resistência da Malha'!B11/(4*'Cálculo do Condutor'!B22))) + ((B10/B11)*LN(8/(PI()*((2*B12)-1))))) </f>
        <v>0.7098364113</v>
      </c>
      <c r="D8" s="11"/>
    </row>
    <row r="9">
      <c r="A9" s="14" t="s">
        <v>73</v>
      </c>
      <c r="B9" s="10">
        <f>0.656+(0.172*B12)</f>
        <v>3.905844304</v>
      </c>
      <c r="D9" s="11"/>
    </row>
    <row r="10">
      <c r="A10" s="14" t="s">
        <v>74</v>
      </c>
      <c r="B10" s="10">
        <f>1/(2*B12^(2/B12))</f>
        <v>0.3663266174</v>
      </c>
      <c r="D10" s="11"/>
    </row>
    <row r="11">
      <c r="A11" s="14" t="s">
        <v>77</v>
      </c>
      <c r="B11" s="10">
        <f>SQRT(1+'Cálculo da Resistência da Malha'!B11)</f>
        <v>1.414213562</v>
      </c>
      <c r="D11" s="11"/>
    </row>
    <row r="12">
      <c r="A12" s="14" t="s">
        <v>78</v>
      </c>
      <c r="B12" s="10">
        <f>SQRT('Cálculo da Resistência da Malha'!B21*'Cálculo da Resistência da Malha'!B22)</f>
        <v>18.89444363</v>
      </c>
      <c r="D12" s="11" t="s">
        <v>80</v>
      </c>
    </row>
    <row r="13">
      <c r="A13" s="14" t="s">
        <v>81</v>
      </c>
      <c r="B13" s="10">
        <f>(1/ (2*PI())) *(LN((('Cálculo da Resistência da Malha'!B20^2)/(16* 'Cálculo da Resistência da Malha'!B11* 'Cálculo do Condutor'!B22))+((('Cálculo da Resistência da Malha'!B20+ 2*'Cálculo da Resistência da Malha'!B11)^2)/(8*'Cálculo do Condutor'!B22*'Cálculo da Resistência da Malha'!B20))-('Cálculo da Resistência da Malha'!B11/(4*'Cálculo do Condutor'!B22))) + ((B14/B11)*LN(8/(PI()*((2*B12)-1))))) </f>
        <v>0.5193953442</v>
      </c>
      <c r="D13" s="11"/>
    </row>
    <row r="14">
      <c r="A14" s="14" t="s">
        <v>82</v>
      </c>
      <c r="B14" s="10">
        <v>1.0</v>
      </c>
      <c r="D14" s="11"/>
    </row>
    <row r="15">
      <c r="A15" s="15" t="s">
        <v>24</v>
      </c>
    </row>
    <row r="16">
      <c r="A16" s="14" t="s">
        <v>83</v>
      </c>
      <c r="B16" s="18">
        <f>'Cálculo da Resistência da Malha'!B6*B8*B9*'Cálculo do Condutor'!B9/'Cálculo da Resistência da Malha'!B23</f>
        <v>10711.48442</v>
      </c>
      <c r="C16" s="10" t="s">
        <v>75</v>
      </c>
      <c r="D16" s="11"/>
    </row>
    <row r="17">
      <c r="A17" s="14" t="s">
        <v>84</v>
      </c>
      <c r="B17" s="18">
        <f>(116+(0.174*B5))/SQRT('Cálculo do Condutor'!B6)</f>
        <v>4150.142166</v>
      </c>
      <c r="C17" s="10" t="s">
        <v>75</v>
      </c>
      <c r="D17" s="11"/>
    </row>
    <row r="18">
      <c r="A18" s="10"/>
      <c r="D18" s="11"/>
    </row>
    <row r="19">
      <c r="A19" s="14" t="s">
        <v>85</v>
      </c>
      <c r="B19" s="16" t="str">
        <f>IFS(B17&gt;B16,"OK",B17&lt;B16,"Redimensionar Malha")</f>
        <v>Redimensionar Malha</v>
      </c>
      <c r="D19" s="11"/>
    </row>
    <row r="20">
      <c r="A20" s="14" t="s">
        <v>86</v>
      </c>
      <c r="B20" s="16" t="str">
        <f>IFS(B17&gt;B23,"OK",B17&lt;B23,"Redimensionar Malha")</f>
        <v>Redimensionar Malha</v>
      </c>
      <c r="D20" s="11"/>
    </row>
    <row r="21">
      <c r="A21" s="14" t="s">
        <v>87</v>
      </c>
      <c r="B21" s="16">
        <f>'Cálculo do Condutor'!B9*'Cálculo da Resistência da Malha'!B24</f>
        <v>66188.10036</v>
      </c>
    </row>
    <row r="23">
      <c r="A23" s="14" t="s">
        <v>88</v>
      </c>
      <c r="B23" s="18">
        <f>'Cálculo da Resistência da Malha'!B6*B13*B9*'Cálculo do Condutor'!B9/('Cálculo da Resistência da Malha'!B23+1.15*'Cálculo da Resistência da Malha'!B25)</f>
        <v>7291.900638</v>
      </c>
    </row>
  </sheetData>
  <mergeCells count="5">
    <mergeCell ref="A1:F1"/>
    <mergeCell ref="A2:F2"/>
    <mergeCell ref="A3:D3"/>
    <mergeCell ref="A6:D6"/>
    <mergeCell ref="A15:D15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3.71"/>
    <col customWidth="1" min="3" max="3" width="10.71"/>
    <col customWidth="1" min="4" max="4" width="39.0"/>
    <col customWidth="1" min="5" max="5" width="4.29"/>
    <col customWidth="1" min="6" max="6" width="5.14"/>
  </cols>
  <sheetData>
    <row r="1">
      <c r="A1" s="1" t="s">
        <v>0</v>
      </c>
    </row>
    <row r="2">
      <c r="A2" s="2" t="s">
        <v>66</v>
      </c>
    </row>
    <row r="3">
      <c r="A3" s="10"/>
      <c r="D3" s="11"/>
      <c r="F3" s="5" t="s">
        <v>5</v>
      </c>
    </row>
    <row r="4">
      <c r="A4" s="3" t="s">
        <v>67</v>
      </c>
      <c r="F4" s="8" t="s">
        <v>10</v>
      </c>
    </row>
    <row r="5">
      <c r="A5" s="6" t="s">
        <v>6</v>
      </c>
      <c r="B5" s="7" t="s">
        <v>7</v>
      </c>
      <c r="C5" s="6" t="s">
        <v>8</v>
      </c>
      <c r="D5" s="6" t="s">
        <v>9</v>
      </c>
    </row>
    <row r="6">
      <c r="A6" s="14" t="s">
        <v>69</v>
      </c>
      <c r="B6" s="16">
        <f>(1/pi())*((1/(2*'Cálculo da Resistência da Malha'!B11))+(1/( 'Cálculo da Resistência da Malha'!B11+'Cálculo da Resistência da Malha'!B20))+((1/'Cálculo da Resistência da Malha'!B20)*(1 - (0.5^( 'Cálculo da Resistência da Malha'!B21-2)))))</f>
        <v>0.3774206937</v>
      </c>
      <c r="D6" s="11"/>
    </row>
    <row r="7">
      <c r="A7" s="10"/>
      <c r="D7" s="11"/>
    </row>
    <row r="8">
      <c r="D8" s="11"/>
    </row>
    <row r="9">
      <c r="A9" s="15" t="s">
        <v>24</v>
      </c>
    </row>
    <row r="10">
      <c r="A10" s="14" t="s">
        <v>72</v>
      </c>
      <c r="B10" s="18">
        <f>'Cálculo da Resistência da Malha'!B6*B6*'Cálculo Potencial de Toque'!B9*'Cálculo do Condutor'!B9 /'Cálculo da Resistência da Malha'!B23</f>
        <v>5695.306432</v>
      </c>
      <c r="C10" s="10" t="s">
        <v>75</v>
      </c>
      <c r="D10" s="11"/>
    </row>
    <row r="11">
      <c r="A11" s="14" t="s">
        <v>76</v>
      </c>
      <c r="B11" s="18">
        <f>(116+(0.696* 'Cálculo Potencial de Toque'!B5))/SQRT('Cálculo do Condutor'!B6)</f>
        <v>15822.41701</v>
      </c>
      <c r="C11" s="10" t="s">
        <v>75</v>
      </c>
      <c r="D11" s="11"/>
    </row>
    <row r="12">
      <c r="A12" s="10"/>
      <c r="D12" s="11"/>
    </row>
    <row r="13">
      <c r="A13" s="14" t="s">
        <v>79</v>
      </c>
      <c r="B13" s="10" t="str">
        <f>IFS(B11&gt;B10,"OK",B11&lt;B10,"Redimensionar Malha")</f>
        <v>OK</v>
      </c>
      <c r="D13" s="11"/>
    </row>
    <row r="14">
      <c r="A14" s="10"/>
      <c r="D14" s="11"/>
    </row>
    <row r="15">
      <c r="A15" s="10"/>
    </row>
    <row r="16">
      <c r="A16" s="10"/>
    </row>
    <row r="17">
      <c r="A17" s="10"/>
    </row>
  </sheetData>
  <mergeCells count="4">
    <mergeCell ref="A1:F1"/>
    <mergeCell ref="A2:F2"/>
    <mergeCell ref="A4:D4"/>
    <mergeCell ref="A9:D9"/>
  </mergeCells>
  <drawing r:id="rId1"/>
</worksheet>
</file>